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<sst xmlns="http://schemas.openxmlformats.org/spreadsheetml/2006/main" count="77" uniqueCount="66">
  <si>
    <t>Approved Budget 11/12</t>
  </si>
  <si>
    <t>Spend</t>
  </si>
  <si>
    <t>Income</t>
  </si>
  <si>
    <t>Virements</t>
  </si>
  <si>
    <t>Previous Months Budget</t>
  </si>
  <si>
    <t>Latest Budget</t>
  </si>
  <si>
    <t>Movement from last month</t>
  </si>
  <si>
    <t>Actual YTD</t>
  </si>
  <si>
    <t>% Budget Spent to 30th Sep 2011</t>
  </si>
  <si>
    <t>Projected Outturn @ 30th Sep 2011</t>
  </si>
  <si>
    <t>Outturn Variance to Latest Budget</t>
  </si>
  <si>
    <t>Movement to Previous months Projected Outturn</t>
  </si>
  <si>
    <t>Outturn Variance at Q1</t>
  </si>
  <si>
    <t>Movement from Q1 to Q2</t>
  </si>
  <si>
    <t>£000's</t>
  </si>
  <si>
    <t>%</t>
  </si>
  <si>
    <t>Directorates</t>
  </si>
  <si>
    <t>Policy, Culture &amp; Communication</t>
  </si>
  <si>
    <t>People and Equalities</t>
  </si>
  <si>
    <t>Law and Governance</t>
  </si>
  <si>
    <t>Chief Executive</t>
  </si>
  <si>
    <t>City Development</t>
  </si>
  <si>
    <t>Community Housing &amp; Development</t>
  </si>
  <si>
    <t>Corporate Assets</t>
  </si>
  <si>
    <t>City Regeneration</t>
  </si>
  <si>
    <t>Environmental Development</t>
  </si>
  <si>
    <t>Customer Services</t>
  </si>
  <si>
    <t>City Leisure</t>
  </si>
  <si>
    <t>Direct Services</t>
  </si>
  <si>
    <t>City Services</t>
  </si>
  <si>
    <t>Business Improvement</t>
  </si>
  <si>
    <t>ICT</t>
  </si>
  <si>
    <t>Finance</t>
  </si>
  <si>
    <t>Finance &amp; Efficiency</t>
  </si>
  <si>
    <t>Total Excluding SLAs And Capital Charges</t>
  </si>
  <si>
    <t>SLA's and Capital Charges</t>
  </si>
  <si>
    <t>Corporate &amp; Democratic Core</t>
  </si>
  <si>
    <t>Item 8 Interest Receivable</t>
  </si>
  <si>
    <t>Transfer to Capital Reserves</t>
  </si>
  <si>
    <t>Concessionary Fares</t>
  </si>
  <si>
    <t>Transformation Fund</t>
  </si>
  <si>
    <t>Investment Income</t>
  </si>
  <si>
    <t>Interest Payable</t>
  </si>
  <si>
    <t>Employee Inflation</t>
  </si>
  <si>
    <t>Provision for Pressures, recession &amp; High Risk</t>
  </si>
  <si>
    <t>Homelessness Contingency</t>
  </si>
  <si>
    <t>New Homes Bonus</t>
  </si>
  <si>
    <t>Redundancy costs contingency</t>
  </si>
  <si>
    <t>Contingency to cover concessionary parking at ice Rink</t>
  </si>
  <si>
    <t>Youth Premises Contingency</t>
  </si>
  <si>
    <t>Council tax Grant</t>
  </si>
  <si>
    <t>Total of Corporate and other associated Budgets</t>
  </si>
  <si>
    <t>Transfer to Balances</t>
  </si>
  <si>
    <t>Net Budget Requirement</t>
  </si>
  <si>
    <t>Funding</t>
  </si>
  <si>
    <t>External Funding</t>
  </si>
  <si>
    <t>Council Tax</t>
  </si>
  <si>
    <t xml:space="preserve">Less Parish Precepts </t>
  </si>
  <si>
    <t>Collection Fund surplus</t>
  </si>
  <si>
    <t>Total Funding Available</t>
  </si>
  <si>
    <t>Transfer to / (From) Reserves</t>
  </si>
  <si>
    <t>(Surplus) / Deficit for Year</t>
  </si>
  <si>
    <t>Working Balance</t>
  </si>
  <si>
    <t>1st April 2011</t>
  </si>
  <si>
    <t>Transfers in</t>
  </si>
  <si>
    <t>31st March 2012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</si>
</sst>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"/>
    <numFmt numFmtId="165" formatCode="#,;[Red]\(#,\)"/>
    <numFmt numFmtId="166" formatCode="#,##0;[Red]\(#,##0\)"/>
  </numFmts>
  <fonts count="7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0" xfId="0" applyFont="1" applyFill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 vertical="top" wrapText="1"/>
    </xf>
    <xf numFmtId="164" fontId="0" fillId="2" borderId="2" xfId="0" applyNumberFormat="1" applyFill="1" applyBorder="1" applyAlignment="1">
      <alignment/>
    </xf>
    <xf numFmtId="0" fontId="0" fillId="2" borderId="0" xfId="0" applyFont="1" applyFill="1" applyAlignment="1">
      <alignment/>
    </xf>
    <xf numFmtId="164" fontId="0" fillId="2" borderId="2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9" fontId="0" fillId="2" borderId="2" xfId="19" applyFont="1" applyFill="1" applyBorder="1" applyAlignment="1">
      <alignment/>
    </xf>
    <xf numFmtId="164" fontId="2" fillId="2" borderId="2" xfId="0" applyNumberFormat="1" applyFont="1" applyFill="1" applyBorder="1" applyAlignment="1">
      <alignment vertical="top"/>
    </xf>
    <xf numFmtId="164" fontId="2" fillId="2" borderId="3" xfId="0" applyNumberFormat="1" applyFont="1" applyFill="1" applyBorder="1" applyAlignment="1">
      <alignment vertical="top"/>
    </xf>
    <xf numFmtId="164" fontId="2" fillId="2" borderId="5" xfId="0" applyNumberFormat="1" applyFont="1" applyFill="1" applyBorder="1" applyAlignment="1">
      <alignment vertical="top"/>
    </xf>
    <xf numFmtId="9" fontId="2" fillId="2" borderId="2" xfId="19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38" fontId="0" fillId="2" borderId="0" xfId="0" applyNumberForma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166" fontId="2" fillId="2" borderId="2" xfId="0" applyNumberFormat="1" applyFont="1" applyFill="1" applyBorder="1" applyAlignment="1" applyProtection="1">
      <alignment/>
      <protection locked="0"/>
    </xf>
    <xf numFmtId="166" fontId="2" fillId="2" borderId="3" xfId="0" applyNumberFormat="1" applyFont="1" applyFill="1" applyBorder="1" applyAlignment="1" applyProtection="1">
      <alignment/>
      <protection locked="0"/>
    </xf>
    <xf numFmtId="165" fontId="2" fillId="2" borderId="5" xfId="0" applyNumberFormat="1" applyFont="1" applyFill="1" applyBorder="1" applyAlignment="1" applyProtection="1">
      <alignment/>
      <protection locked="0"/>
    </xf>
    <xf numFmtId="166" fontId="0" fillId="2" borderId="2" xfId="0" applyNumberFormat="1" applyFont="1" applyFill="1" applyBorder="1" applyAlignment="1" applyProtection="1">
      <alignment/>
      <protection locked="0"/>
    </xf>
    <xf numFmtId="0" fontId="4" fillId="2" borderId="0" xfId="0" applyFont="1" applyFill="1" applyAlignment="1">
      <alignment/>
    </xf>
    <xf numFmtId="166" fontId="0" fillId="2" borderId="2" xfId="0" applyNumberFormat="1" applyFont="1" applyFill="1" applyBorder="1" applyAlignment="1">
      <alignment/>
    </xf>
    <xf numFmtId="166" fontId="2" fillId="2" borderId="2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6" fontId="2" fillId="2" borderId="3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64" fontId="6" fillId="2" borderId="2" xfId="0" applyNumberFormat="1" applyFont="1" applyFill="1" applyBorder="1" applyAlignment="1">
      <alignment/>
    </xf>
    <xf numFmtId="164" fontId="5" fillId="2" borderId="2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5" fillId="2" borderId="3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2" borderId="0" xfId="0" applyFont="1" applyFill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westmoreland\Local%20Settings\Temporary%20Internet%20Files\OLKA3\GF%20Outturn%20(+Comments)%20-%20Sept11%20(Q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 01 Summary"/>
      <sheetName val="pg 02 CHEX"/>
      <sheetName val="pg 03 CREG"/>
      <sheetName val="pg 04 CSER"/>
      <sheetName val="pg F&amp;E"/>
      <sheetName val="pg 06 Corp"/>
    </sheetNames>
    <sheetDataSet>
      <sheetData sheetId="0">
        <row r="35">
          <cell r="G35">
            <v>746.9627</v>
          </cell>
          <cell r="M35">
            <v>343.06149999999997</v>
          </cell>
        </row>
        <row r="36">
          <cell r="G36">
            <v>613.8453900000007</v>
          </cell>
          <cell r="M36">
            <v>0.359</v>
          </cell>
        </row>
        <row r="37">
          <cell r="G37">
            <v>1349.6937099999977</v>
          </cell>
          <cell r="M37">
            <v>130.80819999999997</v>
          </cell>
        </row>
        <row r="39">
          <cell r="G39">
            <v>1852.490209999998</v>
          </cell>
          <cell r="M39">
            <v>1267.3375899999999</v>
          </cell>
        </row>
        <row r="40">
          <cell r="G40">
            <v>4552.903170000008</v>
          </cell>
          <cell r="M40">
            <v>834.9033499999997</v>
          </cell>
        </row>
        <row r="41">
          <cell r="G41">
            <v>1997.1828600000001</v>
          </cell>
          <cell r="M41">
            <v>4754.0988000000025</v>
          </cell>
        </row>
        <row r="43">
          <cell r="G43">
            <v>1267.6215600000028</v>
          </cell>
          <cell r="M43">
            <v>753.0824599999997</v>
          </cell>
        </row>
        <row r="44">
          <cell r="G44">
            <v>2131.705029999998</v>
          </cell>
          <cell r="M44">
            <v>484.38873</v>
          </cell>
        </row>
        <row r="45">
          <cell r="G45">
            <v>2463.2233899999983</v>
          </cell>
          <cell r="M45">
            <v>800.0722200000001</v>
          </cell>
        </row>
        <row r="48">
          <cell r="G48">
            <v>310.15438</v>
          </cell>
          <cell r="M48">
            <v>119.19948000000004</v>
          </cell>
        </row>
        <row r="49">
          <cell r="G49">
            <v>1221.4814600000002</v>
          </cell>
          <cell r="M49">
            <v>5.37979</v>
          </cell>
        </row>
        <row r="50">
          <cell r="G50">
            <v>1318.93056</v>
          </cell>
          <cell r="M50">
            <v>92.67434</v>
          </cell>
        </row>
        <row r="77">
          <cell r="G77">
            <v>847.8716400000023</v>
          </cell>
          <cell r="M77">
            <v>855.16078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A1" sqref="A1"/>
    </sheetView>
  </sheetViews>
  <sheetFormatPr defaultColWidth="9.140625" defaultRowHeight="12.75" outlineLevelRow="1"/>
  <cols>
    <col min="1" max="1" width="45.00390625" style="4" customWidth="1"/>
    <col min="2" max="2" width="12.140625" style="59" customWidth="1"/>
    <col min="3" max="3" width="13.00390625" style="59" hidden="1" customWidth="1"/>
    <col min="4" max="4" width="3.421875" style="59" hidden="1" customWidth="1"/>
    <col min="5" max="5" width="12.8515625" style="59" hidden="1" customWidth="1"/>
    <col min="6" max="7" width="13.00390625" style="59" hidden="1" customWidth="1"/>
    <col min="8" max="8" width="10.28125" style="59" hidden="1" customWidth="1"/>
    <col min="9" max="9" width="10.28125" style="59" customWidth="1"/>
    <col min="10" max="10" width="11.140625" style="62" hidden="1" customWidth="1"/>
    <col min="11" max="11" width="10.140625" style="59" customWidth="1"/>
    <col min="12" max="12" width="11.57421875" style="59" customWidth="1"/>
    <col min="13" max="13" width="12.7109375" style="4" bestFit="1" customWidth="1"/>
    <col min="14" max="14" width="11.7109375" style="4" customWidth="1"/>
    <col min="15" max="16" width="12.00390625" style="4" hidden="1" customWidth="1"/>
    <col min="17" max="17" width="12.00390625" style="4" customWidth="1"/>
    <col min="18" max="16384" width="9.140625" style="4" customWidth="1"/>
  </cols>
  <sheetData>
    <row r="1" spans="1:17" ht="66.75" customHeight="1">
      <c r="A1" s="1"/>
      <c r="B1" s="2" t="s">
        <v>0</v>
      </c>
      <c r="C1" s="2" t="s">
        <v>1</v>
      </c>
      <c r="D1" s="2"/>
      <c r="E1" s="2" t="s">
        <v>2</v>
      </c>
      <c r="F1" s="2" t="s">
        <v>2</v>
      </c>
      <c r="G1" s="2" t="s">
        <v>3</v>
      </c>
      <c r="H1" s="2" t="s">
        <v>4</v>
      </c>
      <c r="I1" s="2" t="s">
        <v>5</v>
      </c>
      <c r="J1" s="3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</row>
    <row r="2" spans="1:17" ht="12.75">
      <c r="A2" s="5"/>
      <c r="B2" s="6" t="s">
        <v>14</v>
      </c>
      <c r="C2" s="6"/>
      <c r="D2" s="7"/>
      <c r="E2" s="6"/>
      <c r="F2" s="6"/>
      <c r="G2" s="6" t="s">
        <v>14</v>
      </c>
      <c r="H2" s="6" t="s">
        <v>14</v>
      </c>
      <c r="I2" s="6" t="s">
        <v>14</v>
      </c>
      <c r="J2" s="8" t="s">
        <v>14</v>
      </c>
      <c r="K2" s="6" t="s">
        <v>14</v>
      </c>
      <c r="L2" s="6" t="s">
        <v>15</v>
      </c>
      <c r="M2" s="6" t="s">
        <v>14</v>
      </c>
      <c r="N2" s="6" t="s">
        <v>14</v>
      </c>
      <c r="O2" s="6" t="s">
        <v>14</v>
      </c>
      <c r="P2" s="6" t="s">
        <v>14</v>
      </c>
      <c r="Q2" s="6" t="s">
        <v>14</v>
      </c>
    </row>
    <row r="3" spans="1:17" ht="12.75">
      <c r="A3" s="9" t="s">
        <v>16</v>
      </c>
      <c r="B3" s="10"/>
      <c r="C3" s="10"/>
      <c r="D3" s="11"/>
      <c r="E3" s="10"/>
      <c r="F3" s="10"/>
      <c r="G3" s="10"/>
      <c r="H3" s="12"/>
      <c r="I3" s="13"/>
      <c r="J3" s="14"/>
      <c r="K3" s="10"/>
      <c r="L3" s="10"/>
      <c r="M3" s="10"/>
      <c r="N3" s="15"/>
      <c r="O3" s="15"/>
      <c r="P3" s="15"/>
      <c r="Q3" s="15"/>
    </row>
    <row r="4" spans="1:17" s="16" customFormat="1" ht="12.75" outlineLevel="1">
      <c r="A4" s="16" t="s">
        <v>17</v>
      </c>
      <c r="B4" s="17">
        <v>982.005</v>
      </c>
      <c r="C4" s="17">
        <v>1743971.3</v>
      </c>
      <c r="D4" s="18"/>
      <c r="E4" s="17">
        <v>-692848.17</v>
      </c>
      <c r="F4" s="17">
        <f>-E4</f>
        <v>692848.17</v>
      </c>
      <c r="G4" s="17">
        <v>-23.455</v>
      </c>
      <c r="H4" s="19">
        <v>954.284</v>
      </c>
      <c r="I4" s="17">
        <v>954.284</v>
      </c>
      <c r="J4" s="20">
        <f>I4-H4</f>
        <v>0</v>
      </c>
      <c r="K4" s="17">
        <f>+'[1]Pg 01 Summary'!$G$35-'[1]Pg 01 Summary'!$M$35</f>
        <v>403.9012000000001</v>
      </c>
      <c r="L4" s="21">
        <f>+K4/I4</f>
        <v>0.4232505208093189</v>
      </c>
      <c r="M4" s="17">
        <f>I4</f>
        <v>954.284</v>
      </c>
      <c r="N4" s="17">
        <v>0</v>
      </c>
      <c r="O4" s="17">
        <v>0</v>
      </c>
      <c r="P4" s="17">
        <v>0</v>
      </c>
      <c r="Q4" s="17">
        <f>N4-P4</f>
        <v>0</v>
      </c>
    </row>
    <row r="5" spans="1:17" s="16" customFormat="1" ht="12.75" outlineLevel="1">
      <c r="A5" s="16" t="s">
        <v>18</v>
      </c>
      <c r="B5" s="17">
        <v>1362.536</v>
      </c>
      <c r="C5" s="17">
        <v>1441436.48</v>
      </c>
      <c r="D5" s="18"/>
      <c r="E5" s="17">
        <v>-4786.97</v>
      </c>
      <c r="F5" s="17">
        <f>-E5</f>
        <v>4786.97</v>
      </c>
      <c r="G5" s="17">
        <v>-20.067</v>
      </c>
      <c r="H5" s="19">
        <v>1344.963</v>
      </c>
      <c r="I5" s="17">
        <v>1344.964</v>
      </c>
      <c r="J5" s="20">
        <f>I5-H5</f>
        <v>0.0009999999999763531</v>
      </c>
      <c r="K5" s="17">
        <f>+'[1]Pg 01 Summary'!$G$36-'[1]Pg 01 Summary'!$M$36</f>
        <v>613.4863900000007</v>
      </c>
      <c r="L5" s="21">
        <f>+K5/I5</f>
        <v>0.4561359188796137</v>
      </c>
      <c r="M5" s="17">
        <f>I5</f>
        <v>1344.964</v>
      </c>
      <c r="N5" s="17">
        <v>0</v>
      </c>
      <c r="O5" s="17">
        <v>0</v>
      </c>
      <c r="P5" s="17">
        <v>65</v>
      </c>
      <c r="Q5" s="17">
        <f aca="true" t="shared" si="0" ref="Q5:Q19">N5-P5</f>
        <v>-65</v>
      </c>
    </row>
    <row r="6" spans="1:17" s="16" customFormat="1" ht="12.75" outlineLevel="1">
      <c r="A6" s="16" t="s">
        <v>19</v>
      </c>
      <c r="B6" s="17">
        <v>2601.829</v>
      </c>
      <c r="C6" s="17">
        <v>2932697.04</v>
      </c>
      <c r="D6" s="18"/>
      <c r="E6" s="17">
        <v>-231909.5</v>
      </c>
      <c r="F6" s="17">
        <f>-E6</f>
        <v>231909.5</v>
      </c>
      <c r="G6" s="17">
        <v>-19.657</v>
      </c>
      <c r="H6" s="19">
        <v>2571.812</v>
      </c>
      <c r="I6" s="17">
        <v>2571.812</v>
      </c>
      <c r="J6" s="20">
        <f>I6-H6</f>
        <v>0</v>
      </c>
      <c r="K6" s="17">
        <f>+'[1]Pg 01 Summary'!$G$37-'[1]Pg 01 Summary'!$M$37</f>
        <v>1218.8855099999978</v>
      </c>
      <c r="L6" s="21">
        <f>+K6/I6</f>
        <v>0.4739403618927036</v>
      </c>
      <c r="M6" s="17">
        <f>I6</f>
        <v>2571.812</v>
      </c>
      <c r="N6" s="17">
        <v>0</v>
      </c>
      <c r="O6" s="17">
        <v>0</v>
      </c>
      <c r="P6" s="17">
        <v>10</v>
      </c>
      <c r="Q6" s="17">
        <f t="shared" si="0"/>
        <v>-10</v>
      </c>
    </row>
    <row r="7" spans="1:17" s="9" customFormat="1" ht="12.75">
      <c r="A7" s="9" t="s">
        <v>20</v>
      </c>
      <c r="B7" s="22">
        <f>SUBTOTAL(9,B4:B6)</f>
        <v>4946.370000000001</v>
      </c>
      <c r="C7" s="22">
        <f>SUBTOTAL(9,C5:C6)</f>
        <v>4374133.52</v>
      </c>
      <c r="D7" s="22">
        <f>SUBTOTAL(9,D5:D6)</f>
        <v>0</v>
      </c>
      <c r="E7" s="22">
        <f>SUBTOTAL(9,E5:E6)</f>
        <v>-236696.47</v>
      </c>
      <c r="F7" s="22">
        <f>SUBTOTAL(9,F5:F6)</f>
        <v>236696.47</v>
      </c>
      <c r="G7" s="22">
        <f>SUBTOTAL(9,G5:G6)</f>
        <v>-39.724000000000004</v>
      </c>
      <c r="H7" s="23">
        <f>SUBTOTAL(9,H4:H6)</f>
        <v>4871.058999999999</v>
      </c>
      <c r="I7" s="22">
        <f>SUBTOTAL(9,I4:I6)</f>
        <v>4871.0599999999995</v>
      </c>
      <c r="J7" s="24">
        <f>SUBTOTAL(9,J4:J6)</f>
        <v>0.0009999999999763531</v>
      </c>
      <c r="K7" s="22">
        <f>SUBTOTAL(9,K4:K6)</f>
        <v>2236.2730999999985</v>
      </c>
      <c r="L7" s="25">
        <f>+K7/H7</f>
        <v>0.4590938233349255</v>
      </c>
      <c r="M7" s="22">
        <f>SUBTOTAL(9,M4:M6)</f>
        <v>4871.0599999999995</v>
      </c>
      <c r="N7" s="22">
        <f>SUBTOTAL(9,N4:N6)</f>
        <v>0</v>
      </c>
      <c r="O7" s="22">
        <f>SUBTOTAL(9,O4:O6)</f>
        <v>0</v>
      </c>
      <c r="P7" s="22">
        <f>SUBTOTAL(9,P4:P6)</f>
        <v>75</v>
      </c>
      <c r="Q7" s="22">
        <f>SUBTOTAL(9,Q4:Q6)</f>
        <v>-75</v>
      </c>
    </row>
    <row r="8" spans="1:17" s="16" customFormat="1" ht="12.75" outlineLevel="1">
      <c r="A8" s="16" t="s">
        <v>21</v>
      </c>
      <c r="B8" s="17">
        <v>1248.126</v>
      </c>
      <c r="C8" s="17">
        <f>4287425.71999999+16.8</f>
        <v>4287442.51999999</v>
      </c>
      <c r="D8" s="18"/>
      <c r="E8" s="17">
        <v>-2734150.6</v>
      </c>
      <c r="F8" s="17">
        <f>-E8</f>
        <v>2734150.6</v>
      </c>
      <c r="G8" s="17">
        <v>-135.264</v>
      </c>
      <c r="H8" s="19">
        <v>1088.899</v>
      </c>
      <c r="I8" s="17">
        <v>1088.899</v>
      </c>
      <c r="J8" s="20">
        <f>I8-H8</f>
        <v>0</v>
      </c>
      <c r="K8" s="17">
        <f>+'[1]Pg 01 Summary'!$G$39-'[1]Pg 01 Summary'!$M$39</f>
        <v>585.152619999998</v>
      </c>
      <c r="L8" s="21">
        <f>+K8/I8</f>
        <v>0.537380069225886</v>
      </c>
      <c r="M8" s="17">
        <f>I8</f>
        <v>1088.899</v>
      </c>
      <c r="N8" s="17">
        <v>0</v>
      </c>
      <c r="O8" s="17">
        <v>0</v>
      </c>
      <c r="P8" s="17">
        <v>0</v>
      </c>
      <c r="Q8" s="17">
        <f t="shared" si="0"/>
        <v>0</v>
      </c>
    </row>
    <row r="9" spans="1:17" s="16" customFormat="1" ht="12.75" outlineLevel="1">
      <c r="A9" s="16" t="s">
        <v>22</v>
      </c>
      <c r="B9" s="17">
        <v>6688.324</v>
      </c>
      <c r="C9" s="17">
        <v>12879338.120000033</v>
      </c>
      <c r="D9" s="18"/>
      <c r="E9" s="17">
        <v>-6033551.310000001</v>
      </c>
      <c r="F9" s="17">
        <f>-E9</f>
        <v>6033551.310000001</v>
      </c>
      <c r="G9" s="17">
        <v>-21.109</v>
      </c>
      <c r="H9" s="19">
        <v>7026.151</v>
      </c>
      <c r="I9" s="17">
        <v>7026.151</v>
      </c>
      <c r="J9" s="20">
        <f>I9-H9</f>
        <v>0</v>
      </c>
      <c r="K9" s="17">
        <f>+'[1]Pg 01 Summary'!$G$40-'[1]Pg 01 Summary'!$M$40</f>
        <v>3717.999820000008</v>
      </c>
      <c r="L9" s="21">
        <f>+K9/I9</f>
        <v>0.5291659430604335</v>
      </c>
      <c r="M9" s="17">
        <f>I9</f>
        <v>7026.151</v>
      </c>
      <c r="N9" s="17">
        <v>0</v>
      </c>
      <c r="O9" s="17">
        <v>0</v>
      </c>
      <c r="P9" s="17">
        <v>0</v>
      </c>
      <c r="Q9" s="17">
        <f t="shared" si="0"/>
        <v>0</v>
      </c>
    </row>
    <row r="10" spans="1:17" s="16" customFormat="1" ht="12.75" outlineLevel="1">
      <c r="A10" s="16" t="s">
        <v>23</v>
      </c>
      <c r="B10" s="17">
        <v>-3718.439</v>
      </c>
      <c r="C10" s="17">
        <v>4180910.850000005</v>
      </c>
      <c r="D10" s="18"/>
      <c r="E10" s="17">
        <v>-7412609.109999999</v>
      </c>
      <c r="F10" s="17">
        <f>-E10</f>
        <v>7412609.109999999</v>
      </c>
      <c r="G10" s="17">
        <v>-21.609</v>
      </c>
      <c r="H10" s="19">
        <v>-3662.409</v>
      </c>
      <c r="I10" s="17">
        <v>-3662.409</v>
      </c>
      <c r="J10" s="20">
        <f>I10-H10</f>
        <v>0</v>
      </c>
      <c r="K10" s="17">
        <f>+('[1]Pg 01 Summary'!$M$41*-1)+'[1]Pg 01 Summary'!$G$41</f>
        <v>-2756.9159400000026</v>
      </c>
      <c r="L10" s="21">
        <f>+K10/I10</f>
        <v>0.7527602569783993</v>
      </c>
      <c r="M10" s="17">
        <f>I10</f>
        <v>-3662.409</v>
      </c>
      <c r="N10" s="17">
        <v>0</v>
      </c>
      <c r="O10" s="17">
        <v>0</v>
      </c>
      <c r="P10" s="17">
        <v>0</v>
      </c>
      <c r="Q10" s="17">
        <f t="shared" si="0"/>
        <v>0</v>
      </c>
    </row>
    <row r="11" spans="1:17" s="9" customFormat="1" ht="12.75">
      <c r="A11" s="9" t="s">
        <v>24</v>
      </c>
      <c r="B11" s="22">
        <f aca="true" t="shared" si="1" ref="B11:K11">SUBTOTAL(9,B8:B10)</f>
        <v>4218.011</v>
      </c>
      <c r="C11" s="22">
        <f t="shared" si="1"/>
        <v>21347691.49000003</v>
      </c>
      <c r="D11" s="22">
        <f t="shared" si="1"/>
        <v>0</v>
      </c>
      <c r="E11" s="22">
        <f t="shared" si="1"/>
        <v>-16180311.020000001</v>
      </c>
      <c r="F11" s="22">
        <f t="shared" si="1"/>
        <v>16180311.020000001</v>
      </c>
      <c r="G11" s="22">
        <f t="shared" si="1"/>
        <v>-177.98200000000003</v>
      </c>
      <c r="H11" s="23">
        <f t="shared" si="1"/>
        <v>4452.641</v>
      </c>
      <c r="I11" s="22">
        <f t="shared" si="1"/>
        <v>4452.641</v>
      </c>
      <c r="J11" s="24">
        <f t="shared" si="1"/>
        <v>0</v>
      </c>
      <c r="K11" s="22">
        <f t="shared" si="1"/>
        <v>1546.2365000000036</v>
      </c>
      <c r="L11" s="25">
        <f>+K11/H11</f>
        <v>0.34726278179624265</v>
      </c>
      <c r="M11" s="22">
        <f>SUBTOTAL(9,M8:M10)</f>
        <v>4452.641</v>
      </c>
      <c r="N11" s="22">
        <f>SUBTOTAL(9,N8:N10)</f>
        <v>0</v>
      </c>
      <c r="O11" s="22">
        <f>SUBTOTAL(9,O8:O10)</f>
        <v>0</v>
      </c>
      <c r="P11" s="22">
        <f>SUBTOTAL(9,P8:P10)</f>
        <v>0</v>
      </c>
      <c r="Q11" s="22">
        <f>SUBTOTAL(9,Q8:Q10)</f>
        <v>0</v>
      </c>
    </row>
    <row r="12" spans="1:17" s="16" customFormat="1" ht="12.75" outlineLevel="1">
      <c r="A12" s="16" t="s">
        <v>25</v>
      </c>
      <c r="B12" s="17">
        <v>1749.592</v>
      </c>
      <c r="C12" s="17">
        <v>2937520.52</v>
      </c>
      <c r="D12" s="18"/>
      <c r="E12" s="17">
        <v>-1033463.62</v>
      </c>
      <c r="F12" s="17">
        <f>-E12</f>
        <v>1033463.62</v>
      </c>
      <c r="G12" s="17">
        <v>-20.095</v>
      </c>
      <c r="H12" s="19">
        <v>1722.98</v>
      </c>
      <c r="I12" s="17">
        <v>1722.98</v>
      </c>
      <c r="J12" s="20">
        <f>I12-H12</f>
        <v>0</v>
      </c>
      <c r="K12" s="17">
        <f>+'[1]Pg 01 Summary'!$G$43-'[1]Pg 01 Summary'!$M$43</f>
        <v>514.539100000003</v>
      </c>
      <c r="L12" s="21">
        <f>+K12/I12</f>
        <v>0.2986332400840422</v>
      </c>
      <c r="M12" s="17">
        <f>I12</f>
        <v>1722.98</v>
      </c>
      <c r="N12" s="17">
        <f>M12-I12</f>
        <v>0</v>
      </c>
      <c r="O12" s="17">
        <v>0</v>
      </c>
      <c r="P12" s="17">
        <v>0</v>
      </c>
      <c r="Q12" s="17">
        <f t="shared" si="0"/>
        <v>0</v>
      </c>
    </row>
    <row r="13" spans="1:17" s="16" customFormat="1" ht="12.75" outlineLevel="1">
      <c r="A13" s="16" t="s">
        <v>26</v>
      </c>
      <c r="B13" s="17">
        <v>2905.72</v>
      </c>
      <c r="C13" s="17">
        <v>4148151.94</v>
      </c>
      <c r="D13" s="18"/>
      <c r="E13" s="17">
        <v>-1588675</v>
      </c>
      <c r="F13" s="17">
        <f>-E13</f>
        <v>1588675</v>
      </c>
      <c r="G13" s="17">
        <v>-55.358</v>
      </c>
      <c r="H13" s="19">
        <v>3073</v>
      </c>
      <c r="I13" s="17">
        <v>3073.024</v>
      </c>
      <c r="J13" s="20">
        <f>I13-H13</f>
        <v>0.023999999999887223</v>
      </c>
      <c r="K13" s="17">
        <f>+'[1]Pg 01 Summary'!$G$44-'[1]Pg 01 Summary'!$M$44</f>
        <v>1647.3162999999977</v>
      </c>
      <c r="L13" s="21">
        <f>+K13/I13</f>
        <v>0.5360570890432349</v>
      </c>
      <c r="M13" s="17">
        <v>3080</v>
      </c>
      <c r="N13" s="17">
        <v>-44</v>
      </c>
      <c r="O13" s="17">
        <v>-77</v>
      </c>
      <c r="P13" s="17">
        <v>33</v>
      </c>
      <c r="Q13" s="17">
        <f t="shared" si="0"/>
        <v>-77</v>
      </c>
    </row>
    <row r="14" spans="1:17" s="16" customFormat="1" ht="12.75" outlineLevel="1">
      <c r="A14" s="16" t="s">
        <v>27</v>
      </c>
      <c r="B14" s="17">
        <v>3999.898</v>
      </c>
      <c r="C14" s="17">
        <v>5759886.000000003</v>
      </c>
      <c r="D14" s="18"/>
      <c r="E14" s="17">
        <v>-2153684.13</v>
      </c>
      <c r="F14" s="17">
        <f>-E14</f>
        <v>2153684.13</v>
      </c>
      <c r="G14" s="17">
        <v>-22.819</v>
      </c>
      <c r="H14" s="19">
        <v>3977</v>
      </c>
      <c r="I14" s="17">
        <v>4027.077</v>
      </c>
      <c r="J14" s="20">
        <f>I14-H14</f>
        <v>50.077000000000226</v>
      </c>
      <c r="K14" s="17">
        <f>+'[1]Pg 01 Summary'!$G$45-'[1]Pg 01 Summary'!$M$45</f>
        <v>1663.1511699999983</v>
      </c>
      <c r="L14" s="21">
        <f>+K14/I14</f>
        <v>0.4129921454196178</v>
      </c>
      <c r="M14" s="17">
        <f>I14</f>
        <v>4027.077</v>
      </c>
      <c r="N14" s="17">
        <f>M14-I14</f>
        <v>0</v>
      </c>
      <c r="O14" s="17">
        <v>0</v>
      </c>
      <c r="P14" s="17">
        <v>0</v>
      </c>
      <c r="Q14" s="17">
        <f t="shared" si="0"/>
        <v>0</v>
      </c>
    </row>
    <row r="15" spans="1:17" s="16" customFormat="1" ht="12.75" outlineLevel="1">
      <c r="A15" s="16" t="s">
        <v>28</v>
      </c>
      <c r="B15" s="17">
        <v>302.472</v>
      </c>
      <c r="C15" s="17">
        <v>18129610.089999966</v>
      </c>
      <c r="D15" s="18"/>
      <c r="E15" s="17">
        <v>-16781259.350000016</v>
      </c>
      <c r="F15" s="17">
        <f>-E15</f>
        <v>16781259.350000016</v>
      </c>
      <c r="G15" s="17">
        <v>-11.517</v>
      </c>
      <c r="H15" s="19">
        <v>-723</v>
      </c>
      <c r="I15" s="17">
        <v>-772.947</v>
      </c>
      <c r="J15" s="20">
        <f>I15-H15</f>
        <v>-49.947</v>
      </c>
      <c r="K15" s="17">
        <v>-681</v>
      </c>
      <c r="L15" s="21">
        <f>+K15/I15</f>
        <v>0.8810435903108492</v>
      </c>
      <c r="M15" s="17">
        <f>I15</f>
        <v>-772.947</v>
      </c>
      <c r="N15" s="17">
        <v>0</v>
      </c>
      <c r="O15" s="17">
        <v>0</v>
      </c>
      <c r="P15" s="17">
        <v>0</v>
      </c>
      <c r="Q15" s="17">
        <f t="shared" si="0"/>
        <v>0</v>
      </c>
    </row>
    <row r="16" spans="1:17" s="9" customFormat="1" ht="12.75">
      <c r="A16" s="9" t="s">
        <v>29</v>
      </c>
      <c r="B16" s="22">
        <f aca="true" t="shared" si="2" ref="B16:Q16">SUBTOTAL(9,B12:B15)</f>
        <v>8957.681999999999</v>
      </c>
      <c r="C16" s="22">
        <f t="shared" si="2"/>
        <v>30975168.549999967</v>
      </c>
      <c r="D16" s="22">
        <f t="shared" si="2"/>
        <v>0</v>
      </c>
      <c r="E16" s="22">
        <f t="shared" si="2"/>
        <v>-21557082.100000016</v>
      </c>
      <c r="F16" s="22">
        <f t="shared" si="2"/>
        <v>21557082.100000016</v>
      </c>
      <c r="G16" s="22">
        <f t="shared" si="2"/>
        <v>-109.789</v>
      </c>
      <c r="H16" s="23">
        <f t="shared" si="2"/>
        <v>8049.98</v>
      </c>
      <c r="I16" s="22">
        <f t="shared" si="2"/>
        <v>8050.134</v>
      </c>
      <c r="J16" s="24">
        <f t="shared" si="2"/>
        <v>0.15400000000011005</v>
      </c>
      <c r="K16" s="22">
        <f t="shared" si="2"/>
        <v>3144.006569999999</v>
      </c>
      <c r="L16" s="25">
        <f>+K16/H16</f>
        <v>0.3905607926976215</v>
      </c>
      <c r="M16" s="22">
        <f t="shared" si="2"/>
        <v>8057.110000000001</v>
      </c>
      <c r="N16" s="22">
        <f t="shared" si="2"/>
        <v>-44</v>
      </c>
      <c r="O16" s="22">
        <f t="shared" si="2"/>
        <v>-77</v>
      </c>
      <c r="P16" s="22">
        <f t="shared" si="2"/>
        <v>33</v>
      </c>
      <c r="Q16" s="22">
        <f t="shared" si="2"/>
        <v>-77</v>
      </c>
    </row>
    <row r="17" spans="1:17" s="16" customFormat="1" ht="12.75" outlineLevel="1">
      <c r="A17" s="16" t="s">
        <v>30</v>
      </c>
      <c r="B17" s="17">
        <f>1043.742-B30</f>
        <v>231.74199999999996</v>
      </c>
      <c r="C17" s="17">
        <v>301554</v>
      </c>
      <c r="D17" s="18"/>
      <c r="E17" s="17">
        <v>-134500</v>
      </c>
      <c r="F17" s="17">
        <f>-E17</f>
        <v>134500</v>
      </c>
      <c r="G17" s="17">
        <v>-120.482</v>
      </c>
      <c r="H17" s="19">
        <v>465</v>
      </c>
      <c r="I17" s="17">
        <v>465</v>
      </c>
      <c r="J17" s="20">
        <f>I17-H17</f>
        <v>0</v>
      </c>
      <c r="K17" s="17">
        <f>+'[1]Pg 01 Summary'!$G$48-'[1]Pg 01 Summary'!$M$48</f>
        <v>190.95489999999995</v>
      </c>
      <c r="L17" s="21">
        <f>+K17/I17</f>
        <v>0.4106556989247311</v>
      </c>
      <c r="M17" s="17">
        <f>I17</f>
        <v>465</v>
      </c>
      <c r="N17" s="17">
        <v>0</v>
      </c>
      <c r="O17" s="17">
        <v>0</v>
      </c>
      <c r="P17" s="17">
        <v>0</v>
      </c>
      <c r="Q17" s="17">
        <f t="shared" si="0"/>
        <v>0</v>
      </c>
    </row>
    <row r="18" spans="1:17" s="16" customFormat="1" ht="12.75" outlineLevel="1">
      <c r="A18" s="16" t="s">
        <v>31</v>
      </c>
      <c r="B18" s="17">
        <v>2387.62</v>
      </c>
      <c r="C18" s="17">
        <v>1664709</v>
      </c>
      <c r="D18" s="18"/>
      <c r="E18" s="17">
        <v>-192528</v>
      </c>
      <c r="F18" s="17">
        <f>-E18</f>
        <v>192528</v>
      </c>
      <c r="G18" s="17">
        <v>455.356</v>
      </c>
      <c r="H18" s="19">
        <v>2854</v>
      </c>
      <c r="I18" s="17">
        <v>2848.6</v>
      </c>
      <c r="J18" s="20">
        <f>I18-H18</f>
        <v>-5.400000000000091</v>
      </c>
      <c r="K18" s="17">
        <f>+'[1]Pg 01 Summary'!$G$49-'[1]Pg 01 Summary'!$M$49</f>
        <v>1216.1016700000002</v>
      </c>
      <c r="L18" s="21">
        <f>+K18/I18</f>
        <v>0.426912051534087</v>
      </c>
      <c r="M18" s="17">
        <f>I18</f>
        <v>2848.6</v>
      </c>
      <c r="N18" s="17">
        <f>M18-I18</f>
        <v>0</v>
      </c>
      <c r="O18" s="17">
        <v>0</v>
      </c>
      <c r="P18" s="17">
        <v>0</v>
      </c>
      <c r="Q18" s="17">
        <f t="shared" si="0"/>
        <v>0</v>
      </c>
    </row>
    <row r="19" spans="1:17" s="16" customFormat="1" ht="12.75" outlineLevel="1">
      <c r="A19" s="16" t="s">
        <v>32</v>
      </c>
      <c r="B19" s="17">
        <f>2675.297-B29</f>
        <v>2609.297</v>
      </c>
      <c r="C19" s="17">
        <v>2449283.82</v>
      </c>
      <c r="D19" s="18"/>
      <c r="E19" s="17">
        <v>-541694.63</v>
      </c>
      <c r="F19" s="17">
        <f>-E19</f>
        <v>541694.63</v>
      </c>
      <c r="G19" s="17">
        <v>16.074</v>
      </c>
      <c r="H19" s="19">
        <v>2596</v>
      </c>
      <c r="I19" s="17">
        <v>2596.12</v>
      </c>
      <c r="J19" s="20">
        <f>I19-H19</f>
        <v>0.11999999999989086</v>
      </c>
      <c r="K19" s="17">
        <f>+'[1]Pg 01 Summary'!$G$50-'[1]Pg 01 Summary'!$M$50</f>
        <v>1226.25622</v>
      </c>
      <c r="L19" s="21">
        <f>+K19/I19</f>
        <v>0.47234188712386177</v>
      </c>
      <c r="M19" s="17">
        <f>I19</f>
        <v>2596.12</v>
      </c>
      <c r="N19" s="17">
        <v>0</v>
      </c>
      <c r="O19" s="17">
        <v>0</v>
      </c>
      <c r="P19" s="17">
        <v>0</v>
      </c>
      <c r="Q19" s="17">
        <f t="shared" si="0"/>
        <v>0</v>
      </c>
    </row>
    <row r="20" spans="1:17" s="9" customFormat="1" ht="12.75">
      <c r="A20" s="9" t="s">
        <v>33</v>
      </c>
      <c r="B20" s="22">
        <f aca="true" t="shared" si="3" ref="B20:Q20">SUBTOTAL(9,B17:B19)</f>
        <v>5228.659</v>
      </c>
      <c r="C20" s="22">
        <f t="shared" si="3"/>
        <v>4415546.82</v>
      </c>
      <c r="D20" s="22">
        <f t="shared" si="3"/>
        <v>0</v>
      </c>
      <c r="E20" s="22">
        <f t="shared" si="3"/>
        <v>-868722.63</v>
      </c>
      <c r="F20" s="22">
        <f t="shared" si="3"/>
        <v>868722.63</v>
      </c>
      <c r="G20" s="22">
        <f t="shared" si="3"/>
        <v>350.94800000000004</v>
      </c>
      <c r="H20" s="23">
        <f t="shared" si="3"/>
        <v>5915</v>
      </c>
      <c r="I20" s="22">
        <f t="shared" si="3"/>
        <v>5909.719999999999</v>
      </c>
      <c r="J20" s="24">
        <f t="shared" si="3"/>
        <v>-5.2800000000002</v>
      </c>
      <c r="K20" s="22">
        <f t="shared" si="3"/>
        <v>2633.31279</v>
      </c>
      <c r="L20" s="25">
        <f>+K20/H20</f>
        <v>0.44519235672020285</v>
      </c>
      <c r="M20" s="22">
        <f t="shared" si="3"/>
        <v>5909.719999999999</v>
      </c>
      <c r="N20" s="22">
        <f>SUBTOTAL(9,N17:N19)</f>
        <v>0</v>
      </c>
      <c r="O20" s="22">
        <f t="shared" si="3"/>
        <v>0</v>
      </c>
      <c r="P20" s="22">
        <f t="shared" si="3"/>
        <v>0</v>
      </c>
      <c r="Q20" s="22">
        <f t="shared" si="3"/>
        <v>0</v>
      </c>
    </row>
    <row r="21" spans="2:17" s="16" customFormat="1" ht="12.75">
      <c r="B21" s="17"/>
      <c r="C21" s="17"/>
      <c r="D21" s="18"/>
      <c r="E21" s="17"/>
      <c r="F21" s="17"/>
      <c r="G21" s="17"/>
      <c r="H21" s="19"/>
      <c r="I21" s="17"/>
      <c r="J21" s="20"/>
      <c r="K21" s="17"/>
      <c r="L21" s="21"/>
      <c r="M21" s="17"/>
      <c r="N21" s="17"/>
      <c r="O21" s="17"/>
      <c r="P21" s="17"/>
      <c r="Q21" s="17"/>
    </row>
    <row r="22" spans="1:17" s="29" customFormat="1" ht="12.75">
      <c r="A22" s="9" t="s">
        <v>34</v>
      </c>
      <c r="B22" s="26">
        <f aca="true" t="shared" si="4" ref="B22:K22">+B20+B16+B11+B7</f>
        <v>23350.722</v>
      </c>
      <c r="C22" s="26">
        <f t="shared" si="4"/>
        <v>61112540.379999995</v>
      </c>
      <c r="D22" s="26">
        <f t="shared" si="4"/>
        <v>0</v>
      </c>
      <c r="E22" s="26">
        <f t="shared" si="4"/>
        <v>-38842812.22000001</v>
      </c>
      <c r="F22" s="26">
        <f t="shared" si="4"/>
        <v>38842812.22000001</v>
      </c>
      <c r="G22" s="26">
        <f t="shared" si="4"/>
        <v>23.453000000000017</v>
      </c>
      <c r="H22" s="27">
        <f t="shared" si="4"/>
        <v>23288.68</v>
      </c>
      <c r="I22" s="26">
        <f t="shared" si="4"/>
        <v>23283.555</v>
      </c>
      <c r="J22" s="28">
        <f t="shared" si="4"/>
        <v>-5.125000000000114</v>
      </c>
      <c r="K22" s="26">
        <f t="shared" si="4"/>
        <v>9559.828960000003</v>
      </c>
      <c r="L22" s="25">
        <f>+K22/H22</f>
        <v>0.4104925208298625</v>
      </c>
      <c r="M22" s="26">
        <f>+M20+M16+M11+M7</f>
        <v>23290.530999999995</v>
      </c>
      <c r="N22" s="26">
        <f>+N20+N16+N11+N7</f>
        <v>-44</v>
      </c>
      <c r="O22" s="26">
        <f>+O20+O16+O11+O7</f>
        <v>-77</v>
      </c>
      <c r="P22" s="26">
        <f>+P20+P16+P11+P7</f>
        <v>108</v>
      </c>
      <c r="Q22" s="26">
        <f>+Q20+Q16+Q11+Q7</f>
        <v>-152</v>
      </c>
    </row>
    <row r="23" spans="1:17" s="16" customFormat="1" ht="12.75">
      <c r="A23" s="9"/>
      <c r="B23" s="17"/>
      <c r="C23" s="17"/>
      <c r="D23" s="18"/>
      <c r="E23" s="17"/>
      <c r="F23" s="17"/>
      <c r="G23" s="17"/>
      <c r="H23" s="19"/>
      <c r="I23" s="17"/>
      <c r="J23" s="20"/>
      <c r="K23" s="17"/>
      <c r="L23" s="21"/>
      <c r="M23" s="17"/>
      <c r="N23" s="17"/>
      <c r="O23" s="17"/>
      <c r="P23" s="17"/>
      <c r="Q23" s="17"/>
    </row>
    <row r="24" spans="1:17" s="29" customFormat="1" ht="12.75">
      <c r="A24" s="29" t="s">
        <v>35</v>
      </c>
      <c r="B24" s="26">
        <v>-1746</v>
      </c>
      <c r="C24" s="26">
        <f>SUM(C5:C20)/2</f>
        <v>61112540.379999995</v>
      </c>
      <c r="D24" s="26">
        <f>SUM(D5:D20)/2</f>
        <v>0</v>
      </c>
      <c r="E24" s="26">
        <f>SUM(E5:E20)/2</f>
        <v>-38842812.22000001</v>
      </c>
      <c r="F24" s="26">
        <f>SUM(F5:F20)/2</f>
        <v>38842812.22000001</v>
      </c>
      <c r="G24" s="26">
        <v>0</v>
      </c>
      <c r="H24" s="27">
        <v>-2997</v>
      </c>
      <c r="I24" s="26">
        <v>-2962</v>
      </c>
      <c r="J24" s="28">
        <f>I24-H24</f>
        <v>35</v>
      </c>
      <c r="K24" s="26">
        <f>+'[1]Pg 01 Summary'!$G$77-'[1]Pg 01 Summary'!$M$77</f>
        <v>-7.289139999997701</v>
      </c>
      <c r="L24" s="25">
        <f>+K24/I24</f>
        <v>0.002460884537473903</v>
      </c>
      <c r="M24" s="26">
        <v>-2962</v>
      </c>
      <c r="N24" s="26">
        <f>M24-I24</f>
        <v>0</v>
      </c>
      <c r="O24" s="26">
        <v>0</v>
      </c>
      <c r="P24" s="26">
        <v>0</v>
      </c>
      <c r="Q24" s="26">
        <v>0</v>
      </c>
    </row>
    <row r="25" spans="1:17" ht="12.75">
      <c r="A25" s="30"/>
      <c r="B25" s="31"/>
      <c r="C25" s="31"/>
      <c r="D25" s="32"/>
      <c r="E25" s="31"/>
      <c r="F25" s="31"/>
      <c r="G25" s="31"/>
      <c r="H25" s="33"/>
      <c r="I25" s="31"/>
      <c r="J25" s="34"/>
      <c r="K25" s="31"/>
      <c r="L25" s="31"/>
      <c r="M25" s="31"/>
      <c r="N25" s="31"/>
      <c r="O25" s="31"/>
      <c r="P25" s="31"/>
      <c r="Q25" s="31"/>
    </row>
    <row r="26" spans="1:17" s="16" customFormat="1" ht="12.75" outlineLevel="1">
      <c r="A26" s="16" t="s">
        <v>36</v>
      </c>
      <c r="B26" s="17">
        <v>3893.494</v>
      </c>
      <c r="C26" s="17">
        <v>69368746.27999999</v>
      </c>
      <c r="D26" s="18"/>
      <c r="E26" s="17">
        <v>-69625067.02999996</v>
      </c>
      <c r="F26" s="17">
        <f aca="true" t="shared" si="5" ref="F26:F39">-E26</f>
        <v>69625067.02999996</v>
      </c>
      <c r="G26" s="17"/>
      <c r="H26" s="19">
        <v>822</v>
      </c>
      <c r="I26" s="17">
        <v>822</v>
      </c>
      <c r="J26" s="20">
        <f>I26-H26</f>
        <v>0</v>
      </c>
      <c r="K26" s="17">
        <v>595</v>
      </c>
      <c r="L26" s="21">
        <f aca="true" t="shared" si="6" ref="L26:L35">+K26/I26</f>
        <v>0.7238442822384428</v>
      </c>
      <c r="M26" s="17">
        <f>I26</f>
        <v>822</v>
      </c>
      <c r="N26" s="17">
        <f>M26-I26</f>
        <v>0</v>
      </c>
      <c r="O26" s="17">
        <v>0</v>
      </c>
      <c r="P26" s="17">
        <v>0</v>
      </c>
      <c r="Q26" s="17">
        <f aca="true" t="shared" si="7" ref="Q26:Q40">N26-P26</f>
        <v>0</v>
      </c>
    </row>
    <row r="27" spans="1:17" s="16" customFormat="1" ht="12.75" outlineLevel="1">
      <c r="A27" s="16" t="s">
        <v>37</v>
      </c>
      <c r="B27" s="17">
        <v>-800.694</v>
      </c>
      <c r="C27" s="17">
        <v>946104.98</v>
      </c>
      <c r="D27" s="18"/>
      <c r="E27" s="17">
        <v>0</v>
      </c>
      <c r="F27" s="17">
        <f t="shared" si="5"/>
        <v>0</v>
      </c>
      <c r="G27" s="17"/>
      <c r="H27" s="19">
        <v>-800.694</v>
      </c>
      <c r="I27" s="17">
        <v>-800.694</v>
      </c>
      <c r="J27" s="20">
        <f aca="true" t="shared" si="8" ref="J27:J40">I27-H27</f>
        <v>0</v>
      </c>
      <c r="K27" s="17">
        <v>0</v>
      </c>
      <c r="L27" s="21">
        <f t="shared" si="6"/>
        <v>0</v>
      </c>
      <c r="M27" s="17">
        <f>I27</f>
        <v>-800.694</v>
      </c>
      <c r="N27" s="17">
        <f>M27-I27</f>
        <v>0</v>
      </c>
      <c r="O27" s="17">
        <v>0</v>
      </c>
      <c r="P27" s="17">
        <v>0</v>
      </c>
      <c r="Q27" s="17">
        <f t="shared" si="7"/>
        <v>0</v>
      </c>
    </row>
    <row r="28" spans="1:17" s="16" customFormat="1" ht="12.75" outlineLevel="1">
      <c r="A28" s="16" t="s">
        <v>38</v>
      </c>
      <c r="B28" s="17">
        <v>-2678.148</v>
      </c>
      <c r="C28" s="17">
        <f>270866-196600-74266+2472.22</f>
        <v>2472.22</v>
      </c>
      <c r="D28" s="18"/>
      <c r="E28" s="17">
        <f>-33372836.73+2125968+14640716+708319.87+12557692</f>
        <v>-3340140.8600000013</v>
      </c>
      <c r="F28" s="17">
        <f t="shared" si="5"/>
        <v>3340140.8600000013</v>
      </c>
      <c r="G28" s="17"/>
      <c r="H28" s="19">
        <v>855</v>
      </c>
      <c r="I28" s="17">
        <v>855</v>
      </c>
      <c r="J28" s="20">
        <f t="shared" si="8"/>
        <v>0</v>
      </c>
      <c r="K28" s="17">
        <v>0</v>
      </c>
      <c r="L28" s="21">
        <f t="shared" si="6"/>
        <v>0</v>
      </c>
      <c r="M28" s="17">
        <f>I28</f>
        <v>855</v>
      </c>
      <c r="N28" s="17">
        <f>M28-I28</f>
        <v>0</v>
      </c>
      <c r="O28" s="17">
        <v>0</v>
      </c>
      <c r="P28" s="17">
        <v>0</v>
      </c>
      <c r="Q28" s="17">
        <f t="shared" si="7"/>
        <v>0</v>
      </c>
    </row>
    <row r="29" spans="1:17" s="16" customFormat="1" ht="12.75" outlineLevel="1">
      <c r="A29" s="16" t="s">
        <v>39</v>
      </c>
      <c r="B29" s="17">
        <v>66</v>
      </c>
      <c r="C29" s="17">
        <f>8466044.66-1255877+448681.54-52269-49484-1428580-1138637-31190-1353344.3</f>
        <v>3605344.9000000004</v>
      </c>
      <c r="D29" s="18"/>
      <c r="E29" s="17">
        <f>-561332+561332</f>
        <v>0</v>
      </c>
      <c r="F29" s="17">
        <f t="shared" si="5"/>
        <v>0</v>
      </c>
      <c r="G29" s="17"/>
      <c r="H29" s="19">
        <v>66</v>
      </c>
      <c r="I29" s="17">
        <v>66</v>
      </c>
      <c r="J29" s="20">
        <f t="shared" si="8"/>
        <v>0</v>
      </c>
      <c r="K29" s="17">
        <v>31</v>
      </c>
      <c r="L29" s="21">
        <f t="shared" si="6"/>
        <v>0.4696969696969697</v>
      </c>
      <c r="M29" s="17">
        <f aca="true" t="shared" si="9" ref="M29:M40">I29</f>
        <v>66</v>
      </c>
      <c r="N29" s="17">
        <f>M29-I29</f>
        <v>0</v>
      </c>
      <c r="O29" s="17">
        <v>0</v>
      </c>
      <c r="P29" s="17">
        <v>0</v>
      </c>
      <c r="Q29" s="17">
        <f t="shared" si="7"/>
        <v>0</v>
      </c>
    </row>
    <row r="30" spans="1:17" s="16" customFormat="1" ht="12.75" outlineLevel="1">
      <c r="A30" s="16" t="s">
        <v>40</v>
      </c>
      <c r="B30" s="17">
        <v>812</v>
      </c>
      <c r="C30" s="17">
        <v>4376001.69</v>
      </c>
      <c r="D30" s="18"/>
      <c r="E30" s="17">
        <v>-3144582.77</v>
      </c>
      <c r="F30" s="17">
        <f t="shared" si="5"/>
        <v>3144582.77</v>
      </c>
      <c r="G30" s="17"/>
      <c r="H30" s="19">
        <v>1664</v>
      </c>
      <c r="I30" s="17">
        <v>1634</v>
      </c>
      <c r="J30" s="20">
        <f t="shared" si="8"/>
        <v>-30</v>
      </c>
      <c r="K30" s="17">
        <v>237</v>
      </c>
      <c r="L30" s="21">
        <f t="shared" si="6"/>
        <v>0.14504283965728273</v>
      </c>
      <c r="M30" s="17">
        <f t="shared" si="9"/>
        <v>1634</v>
      </c>
      <c r="N30" s="17">
        <f>M30-I30</f>
        <v>0</v>
      </c>
      <c r="O30" s="17">
        <v>0</v>
      </c>
      <c r="P30" s="17">
        <v>0</v>
      </c>
      <c r="Q30" s="17">
        <f t="shared" si="7"/>
        <v>0</v>
      </c>
    </row>
    <row r="31" spans="1:17" s="16" customFormat="1" ht="12.75" outlineLevel="1">
      <c r="A31" s="16" t="s">
        <v>41</v>
      </c>
      <c r="B31" s="17">
        <v>-293.125</v>
      </c>
      <c r="C31" s="17">
        <f>8466044.66-1255877+448681.54-52269-49484-1428580-1138637-31190-1353344.3</f>
        <v>3605344.9000000004</v>
      </c>
      <c r="D31" s="18"/>
      <c r="E31" s="17">
        <f>-561332+561332</f>
        <v>0</v>
      </c>
      <c r="F31" s="17">
        <f t="shared" si="5"/>
        <v>0</v>
      </c>
      <c r="G31" s="17"/>
      <c r="H31" s="19">
        <v>-293.125</v>
      </c>
      <c r="I31" s="17">
        <v>-293.125</v>
      </c>
      <c r="J31" s="20">
        <f t="shared" si="8"/>
        <v>0</v>
      </c>
      <c r="K31" s="17">
        <v>-173</v>
      </c>
      <c r="L31" s="21">
        <f t="shared" si="6"/>
        <v>0.5901918976545842</v>
      </c>
      <c r="M31" s="17">
        <f>I31-40</f>
        <v>-333.125</v>
      </c>
      <c r="N31" s="17">
        <f aca="true" t="shared" si="10" ref="N31:N40">M31-H31</f>
        <v>-40</v>
      </c>
      <c r="O31" s="17">
        <v>0</v>
      </c>
      <c r="P31" s="17">
        <v>-40</v>
      </c>
      <c r="Q31" s="17">
        <f t="shared" si="7"/>
        <v>0</v>
      </c>
    </row>
    <row r="32" spans="1:17" s="16" customFormat="1" ht="12.75" outlineLevel="1">
      <c r="A32" s="16" t="s">
        <v>42</v>
      </c>
      <c r="B32" s="17">
        <v>858.8</v>
      </c>
      <c r="C32" s="17">
        <v>4376001.69</v>
      </c>
      <c r="D32" s="18"/>
      <c r="E32" s="17">
        <v>-3144582.77</v>
      </c>
      <c r="F32" s="17">
        <f t="shared" si="5"/>
        <v>3144582.77</v>
      </c>
      <c r="G32" s="17"/>
      <c r="H32" s="19">
        <v>858.8</v>
      </c>
      <c r="I32" s="17">
        <v>858.8</v>
      </c>
      <c r="J32" s="20">
        <f t="shared" si="8"/>
        <v>0</v>
      </c>
      <c r="K32" s="17">
        <v>-1.01213</v>
      </c>
      <c r="L32" s="21">
        <f t="shared" si="6"/>
        <v>-0.0011785398230088496</v>
      </c>
      <c r="M32" s="17">
        <f t="shared" si="9"/>
        <v>858.8</v>
      </c>
      <c r="N32" s="17">
        <f t="shared" si="10"/>
        <v>0</v>
      </c>
      <c r="O32" s="17">
        <v>0</v>
      </c>
      <c r="P32" s="17">
        <v>0</v>
      </c>
      <c r="Q32" s="17">
        <f t="shared" si="7"/>
        <v>0</v>
      </c>
    </row>
    <row r="33" spans="1:17" s="16" customFormat="1" ht="12.75" outlineLevel="1">
      <c r="A33" s="16" t="s">
        <v>43</v>
      </c>
      <c r="B33" s="17">
        <v>350</v>
      </c>
      <c r="C33" s="17">
        <f>-50000+50000+624978.8</f>
        <v>624978.8</v>
      </c>
      <c r="D33" s="18"/>
      <c r="E33" s="17">
        <v>0</v>
      </c>
      <c r="F33" s="17">
        <f t="shared" si="5"/>
        <v>0</v>
      </c>
      <c r="G33" s="17"/>
      <c r="H33" s="19">
        <v>350</v>
      </c>
      <c r="I33" s="17">
        <v>350</v>
      </c>
      <c r="J33" s="20">
        <f t="shared" si="8"/>
        <v>0</v>
      </c>
      <c r="K33" s="17">
        <v>0</v>
      </c>
      <c r="L33" s="21">
        <f t="shared" si="6"/>
        <v>0</v>
      </c>
      <c r="M33" s="17">
        <f t="shared" si="9"/>
        <v>350</v>
      </c>
      <c r="N33" s="17">
        <f t="shared" si="10"/>
        <v>0</v>
      </c>
      <c r="O33" s="17">
        <v>0</v>
      </c>
      <c r="P33" s="17">
        <v>0</v>
      </c>
      <c r="Q33" s="17">
        <f t="shared" si="7"/>
        <v>0</v>
      </c>
    </row>
    <row r="34" spans="1:17" s="16" customFormat="1" ht="12.75" outlineLevel="1">
      <c r="A34" s="16" t="s">
        <v>44</v>
      </c>
      <c r="B34" s="17">
        <v>606</v>
      </c>
      <c r="C34" s="17">
        <v>0</v>
      </c>
      <c r="D34" s="18"/>
      <c r="E34" s="17">
        <v>-220405.31</v>
      </c>
      <c r="F34" s="17">
        <f t="shared" si="5"/>
        <v>220405.31</v>
      </c>
      <c r="G34" s="17"/>
      <c r="H34" s="19">
        <v>606</v>
      </c>
      <c r="I34" s="17">
        <v>606</v>
      </c>
      <c r="J34" s="20">
        <f t="shared" si="8"/>
        <v>0</v>
      </c>
      <c r="K34" s="17">
        <v>0</v>
      </c>
      <c r="L34" s="21">
        <f t="shared" si="6"/>
        <v>0</v>
      </c>
      <c r="M34" s="17">
        <f t="shared" si="9"/>
        <v>606</v>
      </c>
      <c r="N34" s="17">
        <f t="shared" si="10"/>
        <v>0</v>
      </c>
      <c r="O34" s="17">
        <v>0</v>
      </c>
      <c r="P34" s="17">
        <v>0</v>
      </c>
      <c r="Q34" s="17">
        <f t="shared" si="7"/>
        <v>0</v>
      </c>
    </row>
    <row r="35" spans="1:17" s="16" customFormat="1" ht="12.75" outlineLevel="1">
      <c r="A35" s="16" t="s">
        <v>45</v>
      </c>
      <c r="B35" s="17">
        <v>300</v>
      </c>
      <c r="C35" s="17">
        <f>769927.41+74266</f>
        <v>844193.41</v>
      </c>
      <c r="D35" s="18"/>
      <c r="E35" s="17">
        <v>0</v>
      </c>
      <c r="F35" s="17">
        <f t="shared" si="5"/>
        <v>0</v>
      </c>
      <c r="G35" s="17"/>
      <c r="H35" s="19">
        <v>300</v>
      </c>
      <c r="I35" s="17">
        <v>300</v>
      </c>
      <c r="J35" s="20">
        <f t="shared" si="8"/>
        <v>0</v>
      </c>
      <c r="K35" s="17">
        <v>0</v>
      </c>
      <c r="L35" s="21">
        <f t="shared" si="6"/>
        <v>0</v>
      </c>
      <c r="M35" s="17">
        <f t="shared" si="9"/>
        <v>300</v>
      </c>
      <c r="N35" s="17">
        <f t="shared" si="10"/>
        <v>0</v>
      </c>
      <c r="O35" s="17">
        <v>0</v>
      </c>
      <c r="P35" s="17">
        <v>0</v>
      </c>
      <c r="Q35" s="17">
        <f t="shared" si="7"/>
        <v>0</v>
      </c>
    </row>
    <row r="36" spans="1:17" s="16" customFormat="1" ht="12.75" outlineLevel="1">
      <c r="A36" s="16" t="s">
        <v>46</v>
      </c>
      <c r="B36" s="17">
        <v>0</v>
      </c>
      <c r="C36" s="17"/>
      <c r="D36" s="18"/>
      <c r="E36" s="17"/>
      <c r="F36" s="17"/>
      <c r="G36" s="17"/>
      <c r="H36" s="19">
        <v>0</v>
      </c>
      <c r="I36" s="17">
        <v>0</v>
      </c>
      <c r="J36" s="20">
        <f t="shared" si="8"/>
        <v>0</v>
      </c>
      <c r="K36" s="17">
        <v>-472</v>
      </c>
      <c r="L36" s="21"/>
      <c r="M36" s="17">
        <f>K36</f>
        <v>-472</v>
      </c>
      <c r="N36" s="17">
        <f t="shared" si="10"/>
        <v>-472</v>
      </c>
      <c r="O36" s="17">
        <v>0</v>
      </c>
      <c r="P36" s="17">
        <v>0</v>
      </c>
      <c r="Q36" s="17">
        <f t="shared" si="7"/>
        <v>-472</v>
      </c>
    </row>
    <row r="37" spans="1:17" s="16" customFormat="1" ht="12.75" outlineLevel="1">
      <c r="A37" s="35" t="s">
        <v>47</v>
      </c>
      <c r="B37" s="17">
        <v>500</v>
      </c>
      <c r="C37" s="17">
        <v>0</v>
      </c>
      <c r="D37" s="18"/>
      <c r="E37" s="17">
        <v>0</v>
      </c>
      <c r="F37" s="17">
        <f t="shared" si="5"/>
        <v>0</v>
      </c>
      <c r="G37" s="17"/>
      <c r="H37" s="19">
        <v>500</v>
      </c>
      <c r="I37" s="17">
        <v>500</v>
      </c>
      <c r="J37" s="20">
        <f t="shared" si="8"/>
        <v>0</v>
      </c>
      <c r="K37" s="17">
        <v>0</v>
      </c>
      <c r="L37" s="21">
        <f>+K37/I37</f>
        <v>0</v>
      </c>
      <c r="M37" s="17">
        <f t="shared" si="9"/>
        <v>500</v>
      </c>
      <c r="N37" s="17">
        <f t="shared" si="10"/>
        <v>0</v>
      </c>
      <c r="O37" s="17">
        <v>0</v>
      </c>
      <c r="P37" s="17">
        <v>0</v>
      </c>
      <c r="Q37" s="17">
        <f t="shared" si="7"/>
        <v>0</v>
      </c>
    </row>
    <row r="38" spans="1:17" s="16" customFormat="1" ht="12.75" outlineLevel="1">
      <c r="A38" s="36" t="s">
        <v>48</v>
      </c>
      <c r="B38" s="17">
        <v>45</v>
      </c>
      <c r="C38" s="17">
        <f>-448681.54+52269+49484+1428580+1138637</f>
        <v>2220288.46</v>
      </c>
      <c r="D38" s="18"/>
      <c r="E38" s="17">
        <v>0</v>
      </c>
      <c r="F38" s="17">
        <f t="shared" si="5"/>
        <v>0</v>
      </c>
      <c r="G38" s="17"/>
      <c r="H38" s="19">
        <v>45</v>
      </c>
      <c r="I38" s="17">
        <v>45</v>
      </c>
      <c r="J38" s="20">
        <f t="shared" si="8"/>
        <v>0</v>
      </c>
      <c r="K38" s="17">
        <v>0</v>
      </c>
      <c r="L38" s="21">
        <f>+K38/I38</f>
        <v>0</v>
      </c>
      <c r="M38" s="17">
        <f t="shared" si="9"/>
        <v>45</v>
      </c>
      <c r="N38" s="17">
        <f t="shared" si="10"/>
        <v>0</v>
      </c>
      <c r="O38" s="17">
        <v>0</v>
      </c>
      <c r="P38" s="17">
        <v>0</v>
      </c>
      <c r="Q38" s="17">
        <f t="shared" si="7"/>
        <v>0</v>
      </c>
    </row>
    <row r="39" spans="1:17" s="16" customFormat="1" ht="12.75" outlineLevel="1">
      <c r="A39" s="36" t="s">
        <v>49</v>
      </c>
      <c r="B39" s="17">
        <v>10</v>
      </c>
      <c r="C39" s="17">
        <v>0</v>
      </c>
      <c r="D39" s="18"/>
      <c r="E39" s="17">
        <v>-708319.87</v>
      </c>
      <c r="F39" s="17">
        <f t="shared" si="5"/>
        <v>708319.87</v>
      </c>
      <c r="G39" s="17"/>
      <c r="H39" s="19">
        <v>10</v>
      </c>
      <c r="I39" s="17">
        <v>10</v>
      </c>
      <c r="J39" s="20">
        <f t="shared" si="8"/>
        <v>0</v>
      </c>
      <c r="K39" s="17">
        <v>0</v>
      </c>
      <c r="L39" s="21">
        <f>+K39/I39</f>
        <v>0</v>
      </c>
      <c r="M39" s="17">
        <f t="shared" si="9"/>
        <v>10</v>
      </c>
      <c r="N39" s="17">
        <f t="shared" si="10"/>
        <v>0</v>
      </c>
      <c r="O39" s="17">
        <v>0</v>
      </c>
      <c r="P39" s="17">
        <v>0</v>
      </c>
      <c r="Q39" s="17">
        <f t="shared" si="7"/>
        <v>0</v>
      </c>
    </row>
    <row r="40" spans="1:17" s="16" customFormat="1" ht="12.75" outlineLevel="1">
      <c r="A40" s="36" t="s">
        <v>50</v>
      </c>
      <c r="B40" s="17">
        <v>-313</v>
      </c>
      <c r="C40" s="17"/>
      <c r="D40" s="18"/>
      <c r="E40" s="17"/>
      <c r="F40" s="17"/>
      <c r="G40" s="17"/>
      <c r="H40" s="19">
        <v>-313</v>
      </c>
      <c r="I40" s="17">
        <v>-313</v>
      </c>
      <c r="J40" s="20">
        <f t="shared" si="8"/>
        <v>0</v>
      </c>
      <c r="K40" s="17">
        <v>0</v>
      </c>
      <c r="L40" s="21">
        <f>+K40/I40</f>
        <v>0</v>
      </c>
      <c r="M40" s="17">
        <f t="shared" si="9"/>
        <v>-313</v>
      </c>
      <c r="N40" s="17">
        <f t="shared" si="10"/>
        <v>0</v>
      </c>
      <c r="O40" s="17">
        <v>0</v>
      </c>
      <c r="P40" s="17">
        <v>0</v>
      </c>
      <c r="Q40" s="17">
        <f t="shared" si="7"/>
        <v>0</v>
      </c>
    </row>
    <row r="41" spans="1:17" s="16" customFormat="1" ht="12.75" outlineLevel="1">
      <c r="A41" s="36"/>
      <c r="B41" s="17"/>
      <c r="C41" s="17"/>
      <c r="D41" s="18"/>
      <c r="E41" s="17"/>
      <c r="F41" s="17"/>
      <c r="G41" s="17"/>
      <c r="H41" s="19"/>
      <c r="I41" s="17"/>
      <c r="J41" s="20"/>
      <c r="K41" s="17"/>
      <c r="L41" s="17"/>
      <c r="M41" s="17"/>
      <c r="N41" s="17"/>
      <c r="O41" s="17"/>
      <c r="P41" s="17"/>
      <c r="Q41" s="17"/>
    </row>
    <row r="42" spans="1:17" s="29" customFormat="1" ht="12.75">
      <c r="A42" s="37" t="s">
        <v>51</v>
      </c>
      <c r="B42" s="26">
        <f>+SUM(B26:B40)</f>
        <v>3356.327</v>
      </c>
      <c r="C42" s="26">
        <f aca="true" t="shared" si="11" ref="C42:N42">+SUM(C26:C40)</f>
        <v>89969477.32999998</v>
      </c>
      <c r="D42" s="26">
        <f t="shared" si="11"/>
        <v>0</v>
      </c>
      <c r="E42" s="26">
        <f t="shared" si="11"/>
        <v>-80183098.60999995</v>
      </c>
      <c r="F42" s="26">
        <f t="shared" si="11"/>
        <v>80183098.60999995</v>
      </c>
      <c r="G42" s="26">
        <f t="shared" si="11"/>
        <v>0</v>
      </c>
      <c r="H42" s="27">
        <f t="shared" si="11"/>
        <v>4669.981</v>
      </c>
      <c r="I42" s="26">
        <f>+SUM(I26:I40)</f>
        <v>4639.981</v>
      </c>
      <c r="J42" s="28">
        <f>+SUM(J26:J40)</f>
        <v>-30</v>
      </c>
      <c r="K42" s="26">
        <f t="shared" si="11"/>
        <v>216.98787000000004</v>
      </c>
      <c r="L42" s="25">
        <f>+K42/H42</f>
        <v>0.04646440103289501</v>
      </c>
      <c r="M42" s="26">
        <f t="shared" si="11"/>
        <v>4127.981</v>
      </c>
      <c r="N42" s="26">
        <f t="shared" si="11"/>
        <v>-512</v>
      </c>
      <c r="O42" s="26">
        <f>+SUM(O26:O40)</f>
        <v>0</v>
      </c>
      <c r="P42" s="26">
        <f>+SUM(P26:P40)</f>
        <v>-40</v>
      </c>
      <c r="Q42" s="26">
        <f>+SUM(Q26:Q40)</f>
        <v>-472</v>
      </c>
    </row>
    <row r="43" spans="1:17" s="16" customFormat="1" ht="12.75">
      <c r="A43" s="36" t="s">
        <v>52</v>
      </c>
      <c r="B43" s="17">
        <v>816</v>
      </c>
      <c r="C43" s="17"/>
      <c r="D43" s="18"/>
      <c r="E43" s="17"/>
      <c r="F43" s="17"/>
      <c r="G43" s="17"/>
      <c r="H43" s="19">
        <v>816</v>
      </c>
      <c r="I43" s="17">
        <v>816</v>
      </c>
      <c r="J43" s="20">
        <f>I43-H43</f>
        <v>0</v>
      </c>
      <c r="K43" s="17">
        <v>0</v>
      </c>
      <c r="L43" s="21">
        <f>+K43/I43</f>
        <v>0</v>
      </c>
      <c r="M43" s="17">
        <f>H43</f>
        <v>816</v>
      </c>
      <c r="N43" s="17">
        <f>M43-H43</f>
        <v>0</v>
      </c>
      <c r="O43" s="17">
        <v>0</v>
      </c>
      <c r="P43" s="17">
        <v>0</v>
      </c>
      <c r="Q43" s="17">
        <v>0</v>
      </c>
    </row>
    <row r="44" spans="1:17" s="16" customFormat="1" ht="12.75">
      <c r="A44" s="37" t="s">
        <v>53</v>
      </c>
      <c r="B44" s="38">
        <f>B22+B24+B42+B43</f>
        <v>25777.049000000003</v>
      </c>
      <c r="C44" s="38">
        <f aca="true" t="shared" si="12" ref="C44:Q44">C22+C24+C42+C43</f>
        <v>212194558.08999997</v>
      </c>
      <c r="D44" s="38">
        <f t="shared" si="12"/>
        <v>0</v>
      </c>
      <c r="E44" s="38">
        <f t="shared" si="12"/>
        <v>-157868723.04999998</v>
      </c>
      <c r="F44" s="38">
        <f t="shared" si="12"/>
        <v>157868723.04999998</v>
      </c>
      <c r="G44" s="38">
        <f t="shared" si="12"/>
        <v>23.453000000000017</v>
      </c>
      <c r="H44" s="39">
        <f t="shared" si="12"/>
        <v>25777.661</v>
      </c>
      <c r="I44" s="38">
        <f>I22+I24+I42+I43</f>
        <v>25777.536</v>
      </c>
      <c r="J44" s="40">
        <f>J22+J24+J42+J43</f>
        <v>-0.1250000000001137</v>
      </c>
      <c r="K44" s="38">
        <f t="shared" si="12"/>
        <v>9769.527690000006</v>
      </c>
      <c r="L44" s="25">
        <f>+K44/H44</f>
        <v>0.37899201521813813</v>
      </c>
      <c r="M44" s="38">
        <f t="shared" si="12"/>
        <v>25272.511999999995</v>
      </c>
      <c r="N44" s="38">
        <f t="shared" si="12"/>
        <v>-556</v>
      </c>
      <c r="O44" s="26">
        <f t="shared" si="12"/>
        <v>-77</v>
      </c>
      <c r="P44" s="26">
        <f t="shared" si="12"/>
        <v>68</v>
      </c>
      <c r="Q44" s="26">
        <f t="shared" si="12"/>
        <v>-624</v>
      </c>
    </row>
    <row r="45" spans="1:17" s="16" customFormat="1" ht="12.75">
      <c r="A45" s="36"/>
      <c r="B45" s="41"/>
      <c r="C45" s="17"/>
      <c r="D45" s="18"/>
      <c r="E45" s="17"/>
      <c r="F45" s="17"/>
      <c r="G45" s="17"/>
      <c r="H45" s="19"/>
      <c r="I45" s="17"/>
      <c r="J45" s="20"/>
      <c r="K45" s="17"/>
      <c r="L45" s="17"/>
      <c r="M45" s="17"/>
      <c r="N45" s="17"/>
      <c r="O45" s="17"/>
      <c r="P45" s="17"/>
      <c r="Q45" s="17"/>
    </row>
    <row r="46" spans="1:17" s="16" customFormat="1" ht="12.75">
      <c r="A46" s="42" t="s">
        <v>54</v>
      </c>
      <c r="B46" s="43"/>
      <c r="C46" s="17"/>
      <c r="D46" s="18"/>
      <c r="E46" s="17"/>
      <c r="F46" s="17"/>
      <c r="G46" s="17"/>
      <c r="H46" s="19"/>
      <c r="I46" s="17"/>
      <c r="J46" s="20"/>
      <c r="K46" s="17"/>
      <c r="L46" s="17"/>
      <c r="M46" s="17"/>
      <c r="N46" s="17"/>
      <c r="O46" s="17"/>
      <c r="P46" s="17"/>
      <c r="Q46" s="17"/>
    </row>
    <row r="47" spans="1:17" s="16" customFormat="1" ht="12.75">
      <c r="A47" s="16" t="s">
        <v>55</v>
      </c>
      <c r="B47" s="17">
        <v>13398.654</v>
      </c>
      <c r="C47" s="17"/>
      <c r="D47" s="18"/>
      <c r="E47" s="17">
        <f>-2125968+-14640716</f>
        <v>-16766684</v>
      </c>
      <c r="F47" s="17">
        <f>-E47</f>
        <v>16766684</v>
      </c>
      <c r="G47" s="17"/>
      <c r="H47" s="19">
        <v>13398.654</v>
      </c>
      <c r="I47" s="17">
        <v>13398.654</v>
      </c>
      <c r="J47" s="20">
        <f>I47-H47</f>
        <v>0</v>
      </c>
      <c r="K47" s="17">
        <v>7747.031</v>
      </c>
      <c r="L47" s="21">
        <f>+K47/H47</f>
        <v>0.5781947201562186</v>
      </c>
      <c r="M47" s="17">
        <f>I47</f>
        <v>13398.654</v>
      </c>
      <c r="N47" s="17">
        <f>M47-H47</f>
        <v>0</v>
      </c>
      <c r="O47" s="17">
        <v>0</v>
      </c>
      <c r="P47" s="17">
        <v>0</v>
      </c>
      <c r="Q47" s="17">
        <v>0</v>
      </c>
    </row>
    <row r="48" spans="1:17" s="16" customFormat="1" ht="12.75">
      <c r="A48" s="16" t="s">
        <v>56</v>
      </c>
      <c r="B48" s="17">
        <v>12527.988</v>
      </c>
      <c r="C48" s="17">
        <v>0</v>
      </c>
      <c r="D48" s="18"/>
      <c r="E48" s="17">
        <v>-12557692</v>
      </c>
      <c r="F48" s="17">
        <f>-E48</f>
        <v>12557692</v>
      </c>
      <c r="G48" s="17"/>
      <c r="H48" s="19">
        <v>12527.988</v>
      </c>
      <c r="I48" s="17">
        <v>12527.988</v>
      </c>
      <c r="J48" s="20">
        <f>I48-H48</f>
        <v>0</v>
      </c>
      <c r="K48" s="17">
        <v>0</v>
      </c>
      <c r="L48" s="21">
        <f>+K48/H48</f>
        <v>0</v>
      </c>
      <c r="M48" s="17">
        <f>I48</f>
        <v>12527.988</v>
      </c>
      <c r="N48" s="17">
        <f>M48-H48</f>
        <v>0</v>
      </c>
      <c r="O48" s="17">
        <f>N48-K48</f>
        <v>0</v>
      </c>
      <c r="P48" s="17">
        <f>N48-K48</f>
        <v>0</v>
      </c>
      <c r="Q48" s="17">
        <f>O48-L48</f>
        <v>0</v>
      </c>
    </row>
    <row r="49" spans="1:17" s="16" customFormat="1" ht="12.75">
      <c r="A49" s="16" t="s">
        <v>57</v>
      </c>
      <c r="B49" s="17">
        <v>-172.999</v>
      </c>
      <c r="C49" s="17"/>
      <c r="D49" s="18"/>
      <c r="E49" s="17"/>
      <c r="F49" s="17"/>
      <c r="G49" s="17"/>
      <c r="H49" s="19">
        <v>-172.999</v>
      </c>
      <c r="I49" s="17">
        <v>-172.999</v>
      </c>
      <c r="J49" s="20">
        <f>I49-H49</f>
        <v>0</v>
      </c>
      <c r="K49" s="17">
        <v>-168</v>
      </c>
      <c r="L49" s="21">
        <f>+K49/H49</f>
        <v>0.9711038792131746</v>
      </c>
      <c r="M49" s="17">
        <f>I49</f>
        <v>-172.999</v>
      </c>
      <c r="N49" s="17"/>
      <c r="O49" s="17"/>
      <c r="P49" s="17"/>
      <c r="Q49" s="17"/>
    </row>
    <row r="50" spans="1:17" s="16" customFormat="1" ht="12.75">
      <c r="A50" s="16" t="s">
        <v>58</v>
      </c>
      <c r="B50" s="17">
        <v>23.873</v>
      </c>
      <c r="C50" s="17"/>
      <c r="D50" s="18"/>
      <c r="E50" s="17"/>
      <c r="F50" s="17">
        <f>-E50</f>
        <v>0</v>
      </c>
      <c r="G50" s="17"/>
      <c r="H50" s="19">
        <v>23.873</v>
      </c>
      <c r="I50" s="17">
        <v>23.873</v>
      </c>
      <c r="J50" s="20">
        <f>I50-H50</f>
        <v>0</v>
      </c>
      <c r="K50" s="17"/>
      <c r="L50" s="21">
        <f>+K50/H50</f>
        <v>0</v>
      </c>
      <c r="M50" s="17">
        <f>H50</f>
        <v>23.873</v>
      </c>
      <c r="N50" s="17">
        <f>M50-H50</f>
        <v>0</v>
      </c>
      <c r="O50" s="17">
        <f>N50-K50</f>
        <v>0</v>
      </c>
      <c r="P50" s="17">
        <f>N50-K50</f>
        <v>0</v>
      </c>
      <c r="Q50" s="17">
        <f>O50-L50</f>
        <v>0</v>
      </c>
    </row>
    <row r="51" spans="1:17" s="16" customFormat="1" ht="12.75">
      <c r="A51" s="29" t="s">
        <v>59</v>
      </c>
      <c r="B51" s="44">
        <f>SUM(B47:B50)</f>
        <v>25777.516</v>
      </c>
      <c r="C51" s="44">
        <f>SUM(C47:C50)</f>
        <v>0</v>
      </c>
      <c r="D51" s="45"/>
      <c r="E51" s="44">
        <f>SUM(E47:E50)</f>
        <v>-29324376</v>
      </c>
      <c r="F51" s="44">
        <f>SUM(F47:F50)</f>
        <v>29324376</v>
      </c>
      <c r="G51" s="44"/>
      <c r="H51" s="46">
        <f>SUM(H47:H50)</f>
        <v>25777.516</v>
      </c>
      <c r="I51" s="44">
        <f>SUM(I47:I50)</f>
        <v>25777.516</v>
      </c>
      <c r="J51" s="28">
        <f>SUM(J47:J50)</f>
        <v>0</v>
      </c>
      <c r="K51" s="44"/>
      <c r="L51" s="44"/>
      <c r="M51" s="44">
        <f>SUM(M47:M50)</f>
        <v>25777.516</v>
      </c>
      <c r="N51" s="44">
        <f>SUM(N47:N50)</f>
        <v>0</v>
      </c>
      <c r="O51" s="26">
        <f>SUM(O47:O50)</f>
        <v>0</v>
      </c>
      <c r="P51" s="26">
        <f>SUM(P47:P50)</f>
        <v>0</v>
      </c>
      <c r="Q51" s="26">
        <f>SUM(Q47:Q50)</f>
        <v>0</v>
      </c>
    </row>
    <row r="52" spans="1:17" s="16" customFormat="1" ht="12.75">
      <c r="A52" s="47"/>
      <c r="B52" s="48"/>
      <c r="C52" s="49"/>
      <c r="D52" s="50"/>
      <c r="E52" s="49"/>
      <c r="F52" s="49"/>
      <c r="G52" s="49"/>
      <c r="H52" s="51"/>
      <c r="I52" s="49"/>
      <c r="J52" s="52"/>
      <c r="K52" s="49"/>
      <c r="L52" s="49"/>
      <c r="M52" s="48"/>
      <c r="N52" s="48"/>
      <c r="O52" s="48"/>
      <c r="P52" s="48"/>
      <c r="Q52" s="48"/>
    </row>
    <row r="53" spans="1:17" s="16" customFormat="1" ht="12.75">
      <c r="A53" s="53" t="s">
        <v>60</v>
      </c>
      <c r="B53" s="17">
        <v>0</v>
      </c>
      <c r="C53" s="17"/>
      <c r="D53" s="18"/>
      <c r="E53" s="17"/>
      <c r="F53" s="17"/>
      <c r="G53" s="17"/>
      <c r="H53" s="19">
        <v>0</v>
      </c>
      <c r="I53" s="17">
        <v>0</v>
      </c>
      <c r="J53" s="20">
        <f>I53-H53</f>
        <v>0</v>
      </c>
      <c r="K53" s="17">
        <v>472</v>
      </c>
      <c r="L53" s="17"/>
      <c r="M53" s="17">
        <v>472</v>
      </c>
      <c r="N53" s="17">
        <f>+M53-I53</f>
        <v>472</v>
      </c>
      <c r="O53" s="17">
        <v>0</v>
      </c>
      <c r="P53" s="17">
        <v>0</v>
      </c>
      <c r="Q53" s="17">
        <v>472</v>
      </c>
    </row>
    <row r="54" spans="1:17" s="16" customFormat="1" ht="12.75">
      <c r="A54" s="47"/>
      <c r="B54" s="48"/>
      <c r="C54" s="49"/>
      <c r="D54" s="50"/>
      <c r="E54" s="49"/>
      <c r="F54" s="49"/>
      <c r="G54" s="49"/>
      <c r="H54" s="51"/>
      <c r="I54" s="49"/>
      <c r="J54" s="52"/>
      <c r="K54" s="49"/>
      <c r="L54" s="49"/>
      <c r="M54" s="48"/>
      <c r="N54" s="48"/>
      <c r="O54" s="48"/>
      <c r="P54" s="48"/>
      <c r="Q54" s="48"/>
    </row>
    <row r="55" spans="1:17" s="54" customFormat="1" ht="12.75">
      <c r="A55" s="29" t="s">
        <v>61</v>
      </c>
      <c r="B55" s="44">
        <f>B44-B51</f>
        <v>-0.466999999996915</v>
      </c>
      <c r="C55" s="44">
        <f>C44-C51</f>
        <v>212194558.08999997</v>
      </c>
      <c r="D55" s="44">
        <f>D44-D51</f>
        <v>0</v>
      </c>
      <c r="E55" s="44">
        <f>E44-E51</f>
        <v>-128544347.04999998</v>
      </c>
      <c r="F55" s="44">
        <f>F44-F51</f>
        <v>128544347.04999998</v>
      </c>
      <c r="G55" s="44"/>
      <c r="H55" s="46">
        <f>H44-H51</f>
        <v>0.14500000000043656</v>
      </c>
      <c r="I55" s="44">
        <f>I44-I51</f>
        <v>0.020000000000436557</v>
      </c>
      <c r="J55" s="28">
        <f>J44-J51</f>
        <v>-0.1250000000001137</v>
      </c>
      <c r="K55" s="44"/>
      <c r="L55" s="44"/>
      <c r="M55" s="44">
        <f>M44-M51+M53</f>
        <v>-33.00400000000445</v>
      </c>
      <c r="N55" s="44">
        <f>N44-N51+N53</f>
        <v>-84</v>
      </c>
      <c r="O55" s="26">
        <f>O44-O51</f>
        <v>-77</v>
      </c>
      <c r="P55" s="44">
        <f>P44-P51+P53</f>
        <v>68</v>
      </c>
      <c r="Q55" s="44">
        <f>Q44-Q51+Q53</f>
        <v>-152</v>
      </c>
    </row>
    <row r="56" spans="2:17" ht="12.75">
      <c r="B56" s="55"/>
      <c r="C56" s="55"/>
      <c r="D56" s="56"/>
      <c r="E56" s="55"/>
      <c r="F56" s="55"/>
      <c r="G56" s="55"/>
      <c r="H56" s="57"/>
      <c r="I56" s="55"/>
      <c r="J56" s="58"/>
      <c r="K56" s="55"/>
      <c r="L56" s="55"/>
      <c r="M56" s="55"/>
      <c r="N56" s="55"/>
      <c r="O56" s="55"/>
      <c r="P56" s="55"/>
      <c r="Q56" s="55"/>
    </row>
    <row r="57" spans="3:12" ht="12.75">
      <c r="C57" s="60"/>
      <c r="E57" s="60"/>
      <c r="F57" s="60"/>
      <c r="G57" s="60"/>
      <c r="H57" s="60"/>
      <c r="I57" s="60"/>
      <c r="J57" s="61"/>
      <c r="K57" s="60"/>
      <c r="L57" s="60"/>
    </row>
    <row r="58" ht="12.75">
      <c r="A58" s="42" t="s">
        <v>62</v>
      </c>
    </row>
    <row r="59" spans="2:17" ht="12.75">
      <c r="B59" s="11"/>
      <c r="C59" s="60"/>
      <c r="D59" s="60"/>
      <c r="E59" s="60"/>
      <c r="F59" s="60"/>
      <c r="G59" s="60"/>
      <c r="H59" s="60"/>
      <c r="I59" s="60"/>
      <c r="J59" s="61"/>
      <c r="K59" s="60"/>
      <c r="L59" s="60"/>
      <c r="M59" s="11"/>
      <c r="N59" s="11"/>
      <c r="O59" s="11"/>
      <c r="P59" s="11"/>
      <c r="Q59" s="11"/>
    </row>
    <row r="60" spans="1:17" ht="12.75">
      <c r="A60" s="63" t="s">
        <v>63</v>
      </c>
      <c r="B60" s="64">
        <v>4428</v>
      </c>
      <c r="C60" s="64"/>
      <c r="D60" s="64"/>
      <c r="E60" s="64"/>
      <c r="F60" s="65"/>
      <c r="G60" s="60"/>
      <c r="H60" s="60"/>
      <c r="I60" s="60"/>
      <c r="J60" s="61"/>
      <c r="K60" s="60"/>
      <c r="L60" s="60"/>
      <c r="M60" s="63"/>
      <c r="N60" s="63"/>
      <c r="O60" s="63"/>
      <c r="P60" s="63"/>
      <c r="Q60" s="63"/>
    </row>
    <row r="61" spans="1:17" ht="12.75">
      <c r="A61" s="63" t="s">
        <v>64</v>
      </c>
      <c r="B61" s="64">
        <v>816</v>
      </c>
      <c r="C61" s="64"/>
      <c r="D61" s="64"/>
      <c r="E61" s="64"/>
      <c r="F61" s="65"/>
      <c r="G61" s="60"/>
      <c r="H61" s="60"/>
      <c r="I61" s="60"/>
      <c r="J61" s="61"/>
      <c r="K61" s="60"/>
      <c r="L61" s="60"/>
      <c r="M61" s="63"/>
      <c r="N61" s="63"/>
      <c r="O61" s="63"/>
      <c r="P61" s="63"/>
      <c r="Q61" s="63"/>
    </row>
    <row r="62" spans="1:17" ht="12.75">
      <c r="A62" s="63" t="s">
        <v>65</v>
      </c>
      <c r="B62" s="64">
        <f>+B61+B60</f>
        <v>5244</v>
      </c>
      <c r="C62" s="64"/>
      <c r="D62" s="64"/>
      <c r="E62" s="64"/>
      <c r="F62" s="65"/>
      <c r="G62" s="60"/>
      <c r="H62" s="60"/>
      <c r="I62" s="60"/>
      <c r="J62" s="61"/>
      <c r="K62" s="60"/>
      <c r="L62" s="60"/>
      <c r="M62" s="63"/>
      <c r="N62" s="63"/>
      <c r="O62" s="63"/>
      <c r="P62" s="63"/>
      <c r="Q62" s="63"/>
    </row>
    <row r="63" spans="13:17" ht="12.75">
      <c r="M63" s="63"/>
      <c r="N63" s="63"/>
      <c r="O63" s="63"/>
      <c r="P63" s="63"/>
      <c r="Q63" s="63"/>
    </row>
    <row r="64" spans="13:17" ht="12.75">
      <c r="M64" s="63"/>
      <c r="N64" s="63"/>
      <c r="O64" s="63"/>
      <c r="P64" s="63"/>
      <c r="Q64" s="6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- A Sept 2011 Monitoring Report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dcterms:created xsi:type="dcterms:W3CDTF">2011-10-28T09:05:17Z</dcterms:created>
  <dcterms:modified xsi:type="dcterms:W3CDTF">2011-11-29T10:40:52Z</dcterms:modified>
  <cp:category/>
  <cp:version/>
  <cp:contentType/>
  <cp:contentStatus/>
</cp:coreProperties>
</file>